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zdenek/Documents/temp/Podklady na Shromáždění/Rozpočet 2025/"/>
    </mc:Choice>
  </mc:AlternateContent>
  <xr:revisionPtr revIDLastSave="0" documentId="13_ncr:1_{678F1BB5-737F-B344-83AD-A909C65273A1}" xr6:coauthVersionLast="47" xr6:coauthVersionMax="47" xr10:uidLastSave="{00000000-0000-0000-0000-000000000000}"/>
  <bookViews>
    <workbookView xWindow="0" yWindow="500" windowWidth="51200" windowHeight="26540" xr2:uid="{DE89559F-1DF4-244A-8B9F-CC4A92B00ACA}"/>
  </bookViews>
  <sheets>
    <sheet name="Rozpočet 2025" sheetId="7" r:id="rId1"/>
  </sheets>
  <definedNames>
    <definedName name="_xlnm._FilterDatabase" localSheetId="0" hidden="1">'Rozpočet 2025'!$B$2:$G$21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7" l="1"/>
  <c r="F23" i="7"/>
  <c r="E23" i="7"/>
  <c r="D23" i="7"/>
  <c r="C23" i="7"/>
  <c r="E4" i="7"/>
  <c r="E3" i="7"/>
  <c r="F3" i="7"/>
  <c r="F6" i="7"/>
  <c r="F7" i="7"/>
  <c r="F8" i="7"/>
  <c r="F9" i="7"/>
  <c r="F11" i="7"/>
  <c r="F12" i="7"/>
  <c r="F13" i="7"/>
  <c r="F15" i="7"/>
  <c r="F16" i="7"/>
  <c r="F17" i="7"/>
  <c r="F20" i="7"/>
  <c r="F22" i="7"/>
  <c r="E18" i="7"/>
  <c r="F18" i="7" s="1"/>
  <c r="E17" i="7"/>
  <c r="E13" i="7"/>
  <c r="E11" i="7"/>
  <c r="E6" i="7"/>
  <c r="E8" i="7"/>
  <c r="E19" i="7"/>
  <c r="F19" i="7" s="1"/>
  <c r="E22" i="7"/>
  <c r="E7" i="7"/>
  <c r="E16" i="7"/>
  <c r="E21" i="7"/>
  <c r="F21" i="7" s="1"/>
  <c r="E20" i="7"/>
  <c r="E10" i="7"/>
  <c r="F10" i="7" s="1"/>
  <c r="E9" i="7"/>
  <c r="E5" i="7"/>
  <c r="F5" i="7" s="1"/>
  <c r="F4" i="7"/>
</calcChain>
</file>

<file path=xl/sharedStrings.xml><?xml version="1.0" encoding="utf-8"?>
<sst xmlns="http://schemas.openxmlformats.org/spreadsheetml/2006/main" count="47" uniqueCount="44">
  <si>
    <t>Nákladová položka</t>
  </si>
  <si>
    <t>Návrh rozpočtu 2025</t>
  </si>
  <si>
    <t>Vodné stočné</t>
  </si>
  <si>
    <t>Teplo</t>
  </si>
  <si>
    <t>Teplá voda</t>
  </si>
  <si>
    <t>PCO</t>
  </si>
  <si>
    <t>Elektřina garáží</t>
  </si>
  <si>
    <t xml:space="preserve">Elektřina společných prostor </t>
  </si>
  <si>
    <t>Odvoz odpadu</t>
  </si>
  <si>
    <t>Pojištění nemovitosti</t>
  </si>
  <si>
    <t>Pravidelné revize, servisní kontroly</t>
  </si>
  <si>
    <t>Provoz výtahu</t>
  </si>
  <si>
    <t>Servis garáží</t>
  </si>
  <si>
    <t>Správa Garáže</t>
  </si>
  <si>
    <t>Správa nemovitosti</t>
  </si>
  <si>
    <t>Zimní úklid</t>
  </si>
  <si>
    <t>Údržba nemovitosti</t>
  </si>
  <si>
    <t>Údržba zeleně</t>
  </si>
  <si>
    <t>Úklid garáží</t>
  </si>
  <si>
    <t>Úklid společných prostor</t>
  </si>
  <si>
    <t>Odměny Výboru</t>
  </si>
  <si>
    <t>Schválená výše odměny Výboru ve výši 33000,- * 12 * povinné dovody, tj. (45000,- * 12)</t>
  </si>
  <si>
    <t>Celkem</t>
  </si>
  <si>
    <t>Náklad na vodné 2024 + 3% nárůst ceny + 17% nárůst zabydlenosti (provoz budovy celý rok)</t>
  </si>
  <si>
    <t>Náklad na ÚT:TV za rok 2024 + 3% nárůst ceny + 17% nárůst zabydlenosti (provoz budovy celý rok)</t>
  </si>
  <si>
    <t>Náklad na teplo za rok 2024 + 3% nárůst ceny + 17% nárůst zabydlenosti (provoz budovy celý rok)</t>
  </si>
  <si>
    <t>Předpokládné náklady dle uzavřený smluv 
(Hasiči kvartálně 9 405,-, Key kvartálně 18 404,-, Patrol měsíčně 4 100,- )</t>
  </si>
  <si>
    <t>Elektřina rekuperace</t>
  </si>
  <si>
    <t>Náklad roku 2024, navýšený o provoz celého roku + zohlednění přepdokládané úspory na základě změny tarifu (-20%)</t>
  </si>
  <si>
    <t>Předpokládaný náklad dle uzavřené smlouvy + inflační rezerva 3%</t>
  </si>
  <si>
    <t>Náklad roku 2024 + rezerva 10%</t>
  </si>
  <si>
    <t>Náklad roku 2024 + inflační rezerva 3%</t>
  </si>
  <si>
    <t>Maximální výše nákladů na rok 2025 dle platné smlouvy na údržbu zelene</t>
  </si>
  <si>
    <t>Náklad roku 2024</t>
  </si>
  <si>
    <t>Současná smlouva na úklid do 4/2025 + nová snížená sazba u nového dodavatele úklidu od 5/2025 (4*31 959,-) + (8*16792,-)</t>
  </si>
  <si>
    <t>Předpokládaná náklad dle uzavřené smlouvy se zohlednění očekávaného množství zásahů a delky zimní údržby 
(4 měsíce, 3 zásahy/měsíc *5500,-/zásah)</t>
  </si>
  <si>
    <t>Předpis pojistného dle uzavřené pojistné smlouvy (nižší náklady ve 2024 díky příjmu z pojistného plnění - grafity)</t>
  </si>
  <si>
    <t>Náklad roku 2024 + rezerva 10% (vč. nákladů na servis a údržbu rekuperace)</t>
  </si>
  <si>
    <t xml:space="preserve">Skutečná výše nákladů 2024 </t>
  </si>
  <si>
    <t>Poznámka (odůvodnění)</t>
  </si>
  <si>
    <t>Předpokládaný náklad dle smlouvy (3x týdně svoz 2 popelnic á 1100,- Kč * 52 kalendářních týdnů) + 10 000,- související náklady. Pozn.: bez nákladů na odvoz velkoobjemových kontejnerů v roce 2024</t>
  </si>
  <si>
    <t>Rozdíl oproti r. 2024</t>
  </si>
  <si>
    <t>Dle smlouvy - Správa nemovitosti (měsíční paušál*12) + náklady na dálkový odečet (SoftLink), organizace Shromáždění, provoz webu</t>
  </si>
  <si>
    <t>Předpis záloh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</si>
</sst>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9" x14ac:knownFonts="1">
    <font>
      <sz val="12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B05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BF2D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5" fillId="0" borderId="0" xfId="0" applyFont="1"/>
    <xf numFmtId="0" fontId="1" fillId="10" borderId="0" xfId="0" applyFont="1" applyFill="1"/>
    <xf numFmtId="0" fontId="5" fillId="10" borderId="0" xfId="0" applyFont="1" applyFill="1"/>
    <xf numFmtId="0" fontId="2" fillId="2" borderId="7" xfId="0" applyFont="1" applyFill="1" applyBorder="1" applyAlignment="1">
      <alignment horizontal="center" vertical="center"/>
    </xf>
    <xf numFmtId="44" fontId="3" fillId="6" borderId="5" xfId="0" applyNumberFormat="1" applyFont="1" applyFill="1" applyBorder="1" applyAlignment="1">
      <alignment horizontal="left" vertical="center" wrapText="1"/>
    </xf>
    <xf numFmtId="44" fontId="3" fillId="6" borderId="1" xfId="0" applyNumberFormat="1" applyFont="1" applyFill="1" applyBorder="1" applyAlignment="1">
      <alignment horizontal="left" vertical="center" wrapText="1"/>
    </xf>
    <xf numFmtId="44" fontId="3" fillId="6" borderId="6" xfId="0" applyNumberFormat="1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164" fontId="5" fillId="10" borderId="10" xfId="0" applyNumberFormat="1" applyFont="1" applyFill="1" applyBorder="1" applyAlignment="1">
      <alignment horizontal="right" vertical="center"/>
    </xf>
    <xf numFmtId="164" fontId="5" fillId="10" borderId="11" xfId="0" applyNumberFormat="1" applyFont="1" applyFill="1" applyBorder="1" applyAlignment="1">
      <alignment horizontal="right" vertical="center"/>
    </xf>
    <xf numFmtId="164" fontId="5" fillId="10" borderId="12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164" fontId="5" fillId="12" borderId="10" xfId="0" applyNumberFormat="1" applyFont="1" applyFill="1" applyBorder="1" applyAlignment="1">
      <alignment horizontal="right" vertical="center"/>
    </xf>
    <xf numFmtId="164" fontId="5" fillId="12" borderId="11" xfId="0" applyNumberFormat="1" applyFont="1" applyFill="1" applyBorder="1" applyAlignment="1">
      <alignment horizontal="right" vertical="center"/>
    </xf>
    <xf numFmtId="164" fontId="5" fillId="12" borderId="12" xfId="0" applyNumberFormat="1" applyFont="1" applyFill="1" applyBorder="1" applyAlignment="1">
      <alignment horizontal="right" vertical="center"/>
    </xf>
    <xf numFmtId="0" fontId="4" fillId="5" borderId="14" xfId="0" applyFont="1" applyFill="1" applyBorder="1" applyAlignment="1">
      <alignment horizontal="center" vertical="center"/>
    </xf>
    <xf numFmtId="164" fontId="6" fillId="11" borderId="10" xfId="0" applyNumberFormat="1" applyFont="1" applyFill="1" applyBorder="1" applyAlignment="1">
      <alignment horizontal="right" vertical="center"/>
    </xf>
    <xf numFmtId="164" fontId="6" fillId="11" borderId="11" xfId="0" applyNumberFormat="1" applyFont="1" applyFill="1" applyBorder="1" applyAlignment="1">
      <alignment horizontal="right" vertical="center"/>
    </xf>
    <xf numFmtId="164" fontId="6" fillId="11" borderId="12" xfId="0" applyNumberFormat="1" applyFont="1" applyFill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164" fontId="7" fillId="3" borderId="4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0" fontId="6" fillId="13" borderId="10" xfId="0" applyFont="1" applyFill="1" applyBorder="1" applyAlignment="1">
      <alignment vertical="center" wrapText="1"/>
    </xf>
    <xf numFmtId="0" fontId="6" fillId="13" borderId="11" xfId="0" applyFont="1" applyFill="1" applyBorder="1" applyAlignment="1">
      <alignment vertical="center" wrapText="1"/>
    </xf>
    <xf numFmtId="0" fontId="6" fillId="13" borderId="12" xfId="0" applyFont="1" applyFill="1" applyBorder="1" applyAlignment="1">
      <alignment vertical="center" wrapText="1"/>
    </xf>
    <xf numFmtId="44" fontId="4" fillId="10" borderId="0" xfId="0" applyNumberFormat="1" applyFont="1" applyFill="1" applyAlignment="1">
      <alignment horizontal="right" vertical="center"/>
    </xf>
    <xf numFmtId="0" fontId="4" fillId="7" borderId="2" xfId="0" applyFont="1" applyFill="1" applyBorder="1" applyAlignment="1">
      <alignment vertical="center" wrapText="1"/>
    </xf>
    <xf numFmtId="164" fontId="4" fillId="8" borderId="15" xfId="0" applyNumberFormat="1" applyFont="1" applyFill="1" applyBorder="1" applyAlignment="1">
      <alignment horizontal="right" vertical="center"/>
    </xf>
    <xf numFmtId="164" fontId="4" fillId="9" borderId="16" xfId="0" applyNumberFormat="1" applyFont="1" applyFill="1" applyBorder="1" applyAlignment="1">
      <alignment vertical="center"/>
    </xf>
    <xf numFmtId="164" fontId="4" fillId="5" borderId="2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7DEAB"/>
      <color rgb="FFFFFF99"/>
      <color rgb="FFFFFF66"/>
      <color rgb="FFFBF2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E4937-1ACD-4DBA-8497-64120583D8CC}">
  <dimension ref="A1:BW250"/>
  <sheetViews>
    <sheetView tabSelected="1" zoomScale="90" zoomScaleNormal="90" workbookViewId="0">
      <selection activeCell="C3" sqref="C3"/>
    </sheetView>
  </sheetViews>
  <sheetFormatPr baseColWidth="10" defaultColWidth="8.83203125" defaultRowHeight="15" x14ac:dyDescent="0.2"/>
  <cols>
    <col min="1" max="1" width="1.1640625" style="3" customWidth="1"/>
    <col min="2" max="2" width="32.5" style="1" customWidth="1"/>
    <col min="3" max="3" width="24.83203125" style="1" customWidth="1"/>
    <col min="4" max="4" width="25.33203125" style="1" customWidth="1"/>
    <col min="5" max="5" width="24.1640625" style="1" customWidth="1"/>
    <col min="6" max="6" width="22.5" style="1" customWidth="1"/>
    <col min="7" max="7" width="102.6640625" style="1" customWidth="1"/>
    <col min="8" max="75" width="8.83203125" style="3"/>
    <col min="76" max="16384" width="8.83203125" style="1"/>
  </cols>
  <sheetData>
    <row r="1" spans="2:7" s="3" customFormat="1" ht="6.75" customHeight="1" thickBot="1" x14ac:dyDescent="0.25"/>
    <row r="2" spans="2:7" ht="21.75" customHeight="1" thickBot="1" x14ac:dyDescent="0.25">
      <c r="B2" s="10" t="s">
        <v>0</v>
      </c>
      <c r="C2" s="10" t="s">
        <v>43</v>
      </c>
      <c r="D2" s="14" t="s">
        <v>38</v>
      </c>
      <c r="E2" s="18" t="s">
        <v>1</v>
      </c>
      <c r="F2" s="14" t="s">
        <v>41</v>
      </c>
      <c r="G2" s="5" t="s">
        <v>39</v>
      </c>
    </row>
    <row r="3" spans="2:7" ht="27" customHeight="1" x14ac:dyDescent="0.2">
      <c r="B3" s="26" t="s">
        <v>4</v>
      </c>
      <c r="C3" s="11">
        <v>1330119</v>
      </c>
      <c r="D3" s="15">
        <v>934174.58</v>
      </c>
      <c r="E3" s="19">
        <f>(D3*1.03)*1.17</f>
        <v>1125773.7863579998</v>
      </c>
      <c r="F3" s="25">
        <f t="shared" ref="F3:F22" si="0">E3-C3</f>
        <v>-204345.21364200022</v>
      </c>
      <c r="G3" s="6" t="s">
        <v>24</v>
      </c>
    </row>
    <row r="4" spans="2:7" ht="27" customHeight="1" x14ac:dyDescent="0.2">
      <c r="B4" s="27" t="s">
        <v>2</v>
      </c>
      <c r="C4" s="12">
        <v>696801</v>
      </c>
      <c r="D4" s="16">
        <v>905664</v>
      </c>
      <c r="E4" s="20">
        <f>(D4*1.03)*1.17</f>
        <v>1091415.6864</v>
      </c>
      <c r="F4" s="22">
        <f t="shared" si="0"/>
        <v>394614.68640000001</v>
      </c>
      <c r="G4" s="7" t="s">
        <v>23</v>
      </c>
    </row>
    <row r="5" spans="2:7" ht="27" customHeight="1" x14ac:dyDescent="0.2">
      <c r="B5" s="27" t="s">
        <v>3</v>
      </c>
      <c r="C5" s="12">
        <v>1035796</v>
      </c>
      <c r="D5" s="16">
        <v>902631.26</v>
      </c>
      <c r="E5" s="20">
        <f>(D5*1.03)*1.17</f>
        <v>1087760.9314260001</v>
      </c>
      <c r="F5" s="22">
        <f t="shared" si="0"/>
        <v>51964.931426000083</v>
      </c>
      <c r="G5" s="7" t="s">
        <v>25</v>
      </c>
    </row>
    <row r="6" spans="2:7" ht="27" customHeight="1" x14ac:dyDescent="0.2">
      <c r="B6" s="27" t="s">
        <v>27</v>
      </c>
      <c r="C6" s="12">
        <v>0</v>
      </c>
      <c r="D6" s="16">
        <v>696468</v>
      </c>
      <c r="E6" s="20">
        <f>((695468/10)*12)*0.8</f>
        <v>667649.28000000014</v>
      </c>
      <c r="F6" s="22">
        <f t="shared" si="0"/>
        <v>667649.28000000014</v>
      </c>
      <c r="G6" s="7" t="s">
        <v>28</v>
      </c>
    </row>
    <row r="7" spans="2:7" ht="27" customHeight="1" x14ac:dyDescent="0.2">
      <c r="B7" s="27" t="s">
        <v>14</v>
      </c>
      <c r="C7" s="12">
        <v>372094</v>
      </c>
      <c r="D7" s="16">
        <v>493752</v>
      </c>
      <c r="E7" s="20">
        <f>(45083*12)+(7691*12)+10000</f>
        <v>643288</v>
      </c>
      <c r="F7" s="22">
        <f t="shared" si="0"/>
        <v>271194</v>
      </c>
      <c r="G7" s="7" t="s">
        <v>42</v>
      </c>
    </row>
    <row r="8" spans="2:7" ht="27" customHeight="1" x14ac:dyDescent="0.2">
      <c r="B8" s="27" t="s">
        <v>19</v>
      </c>
      <c r="C8" s="12">
        <v>545183</v>
      </c>
      <c r="D8" s="16">
        <v>354130.7</v>
      </c>
      <c r="E8" s="20">
        <f>(4*31959)+(8*16791)</f>
        <v>262164</v>
      </c>
      <c r="F8" s="24">
        <f t="shared" si="0"/>
        <v>-283019</v>
      </c>
      <c r="G8" s="7" t="s">
        <v>34</v>
      </c>
    </row>
    <row r="9" spans="2:7" ht="27" customHeight="1" x14ac:dyDescent="0.2">
      <c r="B9" s="27" t="s">
        <v>8</v>
      </c>
      <c r="C9" s="12">
        <v>202064</v>
      </c>
      <c r="D9" s="16">
        <v>290792</v>
      </c>
      <c r="E9" s="20">
        <f>(1100*52*3)+10000</f>
        <v>181600</v>
      </c>
      <c r="F9" s="24">
        <f t="shared" si="0"/>
        <v>-20464</v>
      </c>
      <c r="G9" s="7" t="s">
        <v>40</v>
      </c>
    </row>
    <row r="10" spans="2:7" ht="27" customHeight="1" x14ac:dyDescent="0.2">
      <c r="B10" s="27" t="s">
        <v>10</v>
      </c>
      <c r="C10" s="12">
        <v>329183</v>
      </c>
      <c r="D10" s="16">
        <v>264556.69</v>
      </c>
      <c r="E10" s="20">
        <f>(D10*1.1)</f>
        <v>291012.35900000005</v>
      </c>
      <c r="F10" s="24">
        <f t="shared" si="0"/>
        <v>-38170.640999999945</v>
      </c>
      <c r="G10" s="7" t="s">
        <v>37</v>
      </c>
    </row>
    <row r="11" spans="2:7" ht="27" customHeight="1" x14ac:dyDescent="0.2">
      <c r="B11" s="27" t="s">
        <v>7</v>
      </c>
      <c r="C11" s="12">
        <v>199859</v>
      </c>
      <c r="D11" s="16">
        <v>204101.75</v>
      </c>
      <c r="E11" s="20">
        <f>((204102/10)*12)*0.8</f>
        <v>195937.92000000004</v>
      </c>
      <c r="F11" s="24">
        <f t="shared" si="0"/>
        <v>-3921.0799999999581</v>
      </c>
      <c r="G11" s="7" t="s">
        <v>28</v>
      </c>
    </row>
    <row r="12" spans="2:7" ht="27" customHeight="1" x14ac:dyDescent="0.2">
      <c r="B12" s="27" t="s">
        <v>17</v>
      </c>
      <c r="C12" s="12">
        <v>748237</v>
      </c>
      <c r="D12" s="16">
        <v>199802.55</v>
      </c>
      <c r="E12" s="20">
        <v>250000</v>
      </c>
      <c r="F12" s="24">
        <f t="shared" si="0"/>
        <v>-498237</v>
      </c>
      <c r="G12" s="7" t="s">
        <v>32</v>
      </c>
    </row>
    <row r="13" spans="2:7" ht="27" customHeight="1" x14ac:dyDescent="0.2">
      <c r="B13" s="27" t="s">
        <v>6</v>
      </c>
      <c r="C13" s="12">
        <v>148559</v>
      </c>
      <c r="D13" s="16">
        <v>163064</v>
      </c>
      <c r="E13" s="20">
        <f>((163064/10)*12)*0.8</f>
        <v>156541.44</v>
      </c>
      <c r="F13" s="22">
        <f t="shared" si="0"/>
        <v>7982.4400000000023</v>
      </c>
      <c r="G13" s="7" t="s">
        <v>28</v>
      </c>
    </row>
    <row r="14" spans="2:7" ht="27" customHeight="1" x14ac:dyDescent="0.2">
      <c r="B14" s="27" t="s">
        <v>9</v>
      </c>
      <c r="C14" s="12">
        <v>152126</v>
      </c>
      <c r="D14" s="16">
        <v>152050</v>
      </c>
      <c r="E14" s="20">
        <v>152126</v>
      </c>
      <c r="F14" s="24">
        <f t="shared" si="0"/>
        <v>0</v>
      </c>
      <c r="G14" s="7" t="s">
        <v>36</v>
      </c>
    </row>
    <row r="15" spans="2:7" ht="27" customHeight="1" x14ac:dyDescent="0.2">
      <c r="B15" s="27" t="s">
        <v>20</v>
      </c>
      <c r="C15" s="12">
        <v>0</v>
      </c>
      <c r="D15" s="16">
        <v>132462</v>
      </c>
      <c r="E15" s="20">
        <v>540000</v>
      </c>
      <c r="F15" s="22">
        <f t="shared" si="0"/>
        <v>540000</v>
      </c>
      <c r="G15" s="7" t="s">
        <v>21</v>
      </c>
    </row>
    <row r="16" spans="2:7" ht="27" customHeight="1" x14ac:dyDescent="0.2">
      <c r="B16" s="27" t="s">
        <v>13</v>
      </c>
      <c r="C16" s="12">
        <v>89338</v>
      </c>
      <c r="D16" s="16">
        <v>93008</v>
      </c>
      <c r="E16" s="20">
        <f>D16*1.03</f>
        <v>95798.24</v>
      </c>
      <c r="F16" s="22">
        <f t="shared" si="0"/>
        <v>6460.2400000000052</v>
      </c>
      <c r="G16" s="7" t="s">
        <v>31</v>
      </c>
    </row>
    <row r="17" spans="1:75" ht="27" customHeight="1" x14ac:dyDescent="0.2">
      <c r="B17" s="27" t="s">
        <v>5</v>
      </c>
      <c r="C17" s="12">
        <v>80216</v>
      </c>
      <c r="D17" s="16">
        <v>92698</v>
      </c>
      <c r="E17" s="20">
        <f>(4*9405)+(4*18404)+(12*4100)</f>
        <v>160436</v>
      </c>
      <c r="F17" s="22">
        <f t="shared" si="0"/>
        <v>80220</v>
      </c>
      <c r="G17" s="7" t="s">
        <v>26</v>
      </c>
    </row>
    <row r="18" spans="1:75" ht="27" customHeight="1" x14ac:dyDescent="0.2">
      <c r="B18" s="27" t="s">
        <v>16</v>
      </c>
      <c r="C18" s="12">
        <v>50024</v>
      </c>
      <c r="D18" s="16">
        <v>68072</v>
      </c>
      <c r="E18" s="20">
        <f>D18*1.03</f>
        <v>70114.16</v>
      </c>
      <c r="F18" s="22">
        <f t="shared" si="0"/>
        <v>20090.160000000003</v>
      </c>
      <c r="G18" s="7" t="s">
        <v>31</v>
      </c>
    </row>
    <row r="19" spans="1:75" ht="27" customHeight="1" x14ac:dyDescent="0.2">
      <c r="B19" s="27" t="s">
        <v>18</v>
      </c>
      <c r="C19" s="12">
        <v>61534</v>
      </c>
      <c r="D19" s="16">
        <v>35272.11</v>
      </c>
      <c r="E19" s="20">
        <f>D19</f>
        <v>35272.11</v>
      </c>
      <c r="F19" s="24">
        <f t="shared" si="0"/>
        <v>-26261.89</v>
      </c>
      <c r="G19" s="7" t="s">
        <v>33</v>
      </c>
    </row>
    <row r="20" spans="1:75" ht="27" customHeight="1" x14ac:dyDescent="0.2">
      <c r="B20" s="27" t="s">
        <v>11</v>
      </c>
      <c r="C20" s="12">
        <v>146497</v>
      </c>
      <c r="D20" s="16">
        <v>33142.25</v>
      </c>
      <c r="E20" s="20">
        <f>31070*4*1.03</f>
        <v>128008.40000000001</v>
      </c>
      <c r="F20" s="24">
        <f t="shared" si="0"/>
        <v>-18488.599999999991</v>
      </c>
      <c r="G20" s="7" t="s">
        <v>29</v>
      </c>
    </row>
    <row r="21" spans="1:75" ht="27" customHeight="1" x14ac:dyDescent="0.2">
      <c r="B21" s="27" t="s">
        <v>12</v>
      </c>
      <c r="C21" s="12">
        <v>25060</v>
      </c>
      <c r="D21" s="16">
        <v>26644.2</v>
      </c>
      <c r="E21" s="20">
        <f>D21*1.1</f>
        <v>29308.620000000003</v>
      </c>
      <c r="F21" s="22">
        <f t="shared" si="0"/>
        <v>4248.6200000000026</v>
      </c>
      <c r="G21" s="7" t="s">
        <v>30</v>
      </c>
    </row>
    <row r="22" spans="1:75" s="2" customFormat="1" ht="27" customHeight="1" thickBot="1" x14ac:dyDescent="0.25">
      <c r="A22" s="4"/>
      <c r="B22" s="28" t="s">
        <v>15</v>
      </c>
      <c r="C22" s="13">
        <v>0</v>
      </c>
      <c r="D22" s="17">
        <v>19595</v>
      </c>
      <c r="E22" s="21">
        <f>5500*4*3</f>
        <v>66000</v>
      </c>
      <c r="F22" s="23">
        <f t="shared" si="0"/>
        <v>66000</v>
      </c>
      <c r="G22" s="8" t="s">
        <v>35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ht="27" customHeight="1" thickBot="1" x14ac:dyDescent="0.25">
      <c r="B23" s="30" t="s">
        <v>22</v>
      </c>
      <c r="C23" s="31">
        <f>SUM(C3:C22)</f>
        <v>6212690</v>
      </c>
      <c r="D23" s="32">
        <f>SUM(D3:D22)</f>
        <v>6062081.0900000008</v>
      </c>
      <c r="E23" s="9">
        <f>SUM(E3:E22)</f>
        <v>7230206.9331840016</v>
      </c>
      <c r="F23" s="33">
        <f>SUM(F3:F22)</f>
        <v>1017516.933184</v>
      </c>
      <c r="G23" s="29"/>
    </row>
    <row r="24" spans="1:75" s="3" customFormat="1" x14ac:dyDescent="0.2"/>
    <row r="25" spans="1:75" s="3" customFormat="1" x14ac:dyDescent="0.2"/>
    <row r="26" spans="1:75" s="3" customFormat="1" x14ac:dyDescent="0.2"/>
    <row r="27" spans="1:75" s="3" customFormat="1" x14ac:dyDescent="0.2"/>
    <row r="28" spans="1:75" s="3" customFormat="1" x14ac:dyDescent="0.2"/>
    <row r="29" spans="1:75" s="3" customFormat="1" x14ac:dyDescent="0.2"/>
    <row r="30" spans="1:75" s="3" customFormat="1" x14ac:dyDescent="0.2"/>
    <row r="31" spans="1:75" s="3" customFormat="1" x14ac:dyDescent="0.2"/>
    <row r="32" spans="1:75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</sheetData>
  <autoFilter ref="B2:G21" xr:uid="{90AE4937-1ACD-4DBA-8497-64120583D8CC}">
    <sortState xmlns:xlrd2="http://schemas.microsoft.com/office/spreadsheetml/2017/richdata2" ref="B3:G23">
      <sortCondition descending="1" ref="D2:D2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Navrátil</dc:creator>
  <cp:lastModifiedBy>Zdenek Navrátil</cp:lastModifiedBy>
  <dcterms:created xsi:type="dcterms:W3CDTF">2025-03-07T12:56:10Z</dcterms:created>
  <dcterms:modified xsi:type="dcterms:W3CDTF">2025-04-07T16:07:49Z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5f591a-3248-43e9-9b70-1ad50135772d_Enabled">
    <vt:lpwstr>true</vt:lpwstr>
  </property>
  <property fmtid="{D5CDD505-2E9C-101B-9397-08002B2CF9AE}" pid="3" name="MSIP_Label_ce5f591a-3248-43e9-9b70-1ad50135772d_SetDate">
    <vt:lpwstr>2025-03-07T13:21:19Z</vt:lpwstr>
  </property>
  <property fmtid="{D5CDD505-2E9C-101B-9397-08002B2CF9AE}" pid="4" name="MSIP_Label_ce5f591a-3248-43e9-9b70-1ad50135772d_Method">
    <vt:lpwstr>Privileged</vt:lpwstr>
  </property>
  <property fmtid="{D5CDD505-2E9C-101B-9397-08002B2CF9AE}" pid="5" name="MSIP_Label_ce5f591a-3248-43e9-9b70-1ad50135772d_Name">
    <vt:lpwstr>ce5f591a-3248-43e9-9b70-1ad50135772d</vt:lpwstr>
  </property>
  <property fmtid="{D5CDD505-2E9C-101B-9397-08002B2CF9AE}" pid="6" name="MSIP_Label_ce5f591a-3248-43e9-9b70-1ad50135772d_SiteId">
    <vt:lpwstr>6e06e42d-6925-47c6-b9e7-9581c7ca302a</vt:lpwstr>
  </property>
  <property fmtid="{D5CDD505-2E9C-101B-9397-08002B2CF9AE}" pid="7" name="MSIP_Label_ce5f591a-3248-43e9-9b70-1ad50135772d_ActionId">
    <vt:lpwstr>dba681bb-c75d-4172-a113-682ef6d02342</vt:lpwstr>
  </property>
  <property fmtid="{D5CDD505-2E9C-101B-9397-08002B2CF9AE}" pid="8" name="MSIP_Label_ce5f591a-3248-43e9-9b70-1ad50135772d_ContentBits">
    <vt:lpwstr>0</vt:lpwstr>
  </property>
</Properties>
</file>